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35F15A3F-0C5D-4CA5-BA76-1690E2420113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G40" i="6"/>
  <c r="E42" i="6"/>
  <c r="F42" i="6"/>
  <c r="D30" i="3"/>
  <c r="F30" i="1" s="1"/>
  <c r="H27" i="8" l="1"/>
  <c r="H47" i="5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<sst xmlns="http://schemas.openxmlformats.org/spreadsheetml/2006/main" count="282" uniqueCount="197">
  <si>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</si>
  <si>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</si>
  <si>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</si>
  <si>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</si>
  <si>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</si>
  <si>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</si>
  <si>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</si>
  <si>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</si>
  <si>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</si>
  <si>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</si>
  <si>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</si>
  <si>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</si>
  <si>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</si>
  <si>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</si>
  <si>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</si>
  <si>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</si>
  <si>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</si>
  <si>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</si>
  <si>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</si>
  <si>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</si>
  <si>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</si>
  <si>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</si>
  <si>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</si>
  <si>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</si>
  <si>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</si>
  <si>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</si>
  <si>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</si>
  <si>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</si>
  <si>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</si>
  <si>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</si>
  <si>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</si>
  <si>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</si>
  <si>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</si>
  <si>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</si>
  <si>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</si>
  <si>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</si>
  <si>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</si>
  <si>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</si>
  <si>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</si>
  <si>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</si>
  <si>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</si>
  <si>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</si>
  <si>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</si>
  <si>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</si>
  <si>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</si>
  <si>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</si>
  <si>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</si>
  <si>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</si>
  <si>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</si>
  <si>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</si>
  <si>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</si>
  <si>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</si>
  <si>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</si>
  <si>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</si>
  <si>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</si>
  <si>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</si>
  <si>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</si>
  <si>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</si>
  <si>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</si>
  <si>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</si>
  <si>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</si>
  <si>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</si>
  <si>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</si>
  <si>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</si>
  <si>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</si>
  <si>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</si>
  <si>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</si>
  <si>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</si>
  <si>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</si>
  <si>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</si>
  <si>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</si>
  <si>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</si>
  <si>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</si>
  <si>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</si>
  <si>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</si>
  <si>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</si>
  <si>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</si>
  <si>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</si>
  <si>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</si>
  <si>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</si>
  <si>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</si>
  <si>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</si>
  <si>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</si>
  <si>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</si>
  <si>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</si>
  <si>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</si>
  <si>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</si>
  <si>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</si>
  <si>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</si>
  <si>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</si>
  <si>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</si>
  <si>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</si>
  <si>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</si>
  <si>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</si>
  <si>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</si>
  <si>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</si>
  <si>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</si>
  <si>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</si>
  <si>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</si>
  <si>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</si>
  <si>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</si>
  <si>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</si>
  <si>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</si>
  <si>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</si>
  <si>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</si>
  <si>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</si>
  <si>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</si>
  <si>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</si>
  <si>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</si>
  <si>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</si>
  <si>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</si>
  <si>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</si>
  <si>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</si>
  <si>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</si>
  <si>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</si>
  <si>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</si>
  <si>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</si>
  <si>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</si>
  <si>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</si>
  <si>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</si>
  <si>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</si>
  <si>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</si>
  <si>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</si>
  <si>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</si>
  <si>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</si>
  <si>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</si>
  <si>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</si>
  <si>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</si>
  <si>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</si>
  <si>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</si>
  <si>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</si>
  <si>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</si>
  <si>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</si>
  <si>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</si>
  <si>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</si>
  <si>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</si>
  <si>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</si>
  <si>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</si>
  <si>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</si>
  <si>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</si>
  <si>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</si>
  <si>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</si>
  <si>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</si>
  <si>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</si>
  <si>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</si>
  <si>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</si>
  <si>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</si>
  <si>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</si>
  <si>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</si>
  <si>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</si>
  <si>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</si>
  <si>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</si>
  <si>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</si>
  <si>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</si>
  <si>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</si>
  <si>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</si>
  <si>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</si>
  <si>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</si>
  <si>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</si>
  <si>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</si>
  <si>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</si>
  <si>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</si>
  <si>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</si>
  <si>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</si>
  <si>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</si>
  <si>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</si>
  <si>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</si>
  <si>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</si>
  <si>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</si>
  <si>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</si>
  <si>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</si>
  <si>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</si>
  <si>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</si>
  <si>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</si>
  <si>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</si>
  <si>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</si>
  <si>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</si>
  <si>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</si>
  <si>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</si>
  <si>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</si>
  <si>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</si>
  <si>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</si>
  <si>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</si>
  <si>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</si>
  <si>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</si>
  <si>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</si>
  <si>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</si>
  <si>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</si>
  <si>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</si>
  <si>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Marktgemeinde Markt Schwaben</t>
  </si>
  <si>
    <t>Stand: 15.02.2023</t>
  </si>
  <si>
    <t>Die Marktgemeinde Markt Schwaben setzt sich folgende Ziele: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</si>
  <si>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</si>
  <si>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Heizwärmeversorgung.</t>
  </si>
  <si>
    <t>Feichten</t>
  </si>
  <si>
    <t>Haus</t>
  </si>
  <si>
    <t>Markt Schwaben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</si>
</sst>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76044.94</c:v>
                </c:pt>
                <c:pt idx="1">
                  <c:v>71567.71909592062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106787</c:v>
                </c:pt>
                <c:pt idx="1">
                  <c:v>143119.75552373557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3344.52</c:v>
                </c:pt>
                <c:pt idx="1">
                  <c:v>3781.3972517535531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18631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167516</c:v>
                </c:pt>
                <c:pt idx="1">
                  <c:v>218468.87187140973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186147</c:v>
                </c:pt>
                <c:pt idx="1">
                  <c:v>218468.87187140973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15009.12</c:v>
                </c:pt>
                <c:pt idx="1">
                  <c:v>12621.192939443106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47726.11</c:v>
                </c:pt>
                <c:pt idx="1">
                  <c:v>53534.712475779226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1753.83</c:v>
                </c:pt>
                <c:pt idx="1">
                  <c:v>1200.5759060249829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24795.760869565216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3214</c:v>
                </c:pt>
                <c:pt idx="1">
                  <c:v>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62845.440000000002</c:v>
                </c:pt>
                <c:pt idx="1">
                  <c:v>88938.24219081254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66059.44</c:v>
                </c:pt>
                <c:pt idx="1">
                  <c:v>92152.24219081254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17787.648438162509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52432.52924913833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139</v>
      </c>
      <c r="C3" s="194"/>
    </row>
    <row r="4" spans="2:4" ht="25.5" customHeight="1" x14ac:dyDescent="0.2">
      <c r="B4" s="147" t="s">
        <v>87</v>
      </c>
      <c r="C4" s="148" t="s">
        <v>130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88</v>
      </c>
      <c r="C6" s="152" t="s">
        <v>133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89</v>
      </c>
      <c r="C8" s="152" t="s">
        <v>131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164</v>
      </c>
      <c r="C10" s="149" t="s">
        <v>163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92</v>
      </c>
      <c r="C12" s="149" t="s">
        <v>132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90</v>
      </c>
      <c r="C14" s="152" t="s">
        <v>129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91</v>
      </c>
      <c r="C16" s="149" t="s">
        <v>128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218.469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180</v>
      </c>
      <c r="E14" s="218"/>
      <c r="F14" s="218"/>
      <c r="G14" s="218"/>
      <c r="H14" s="218"/>
      <c r="I14" s="219" t="str">
        <f>""&amp;FIXED(D82,0,FALSE)&amp;" MWh/a"</f>
        <v>186.147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17 %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191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184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193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191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77</v>
      </c>
      <c r="G29" s="230"/>
      <c r="H29" s="237" t="s">
        <v>78</v>
      </c>
      <c r="I29" s="237"/>
      <c r="J29" s="230" t="s">
        <v>82</v>
      </c>
      <c r="K29" s="230"/>
    </row>
    <row r="30" spans="1:12" ht="21.6" customHeight="1" x14ac:dyDescent="0.2">
      <c r="A30" s="14"/>
      <c r="B30" s="242" t="s">
        <v>75</v>
      </c>
      <c r="C30" s="242"/>
      <c r="D30" s="242"/>
      <c r="E30" s="242"/>
      <c r="F30" s="239">
        <v>0</v>
      </c>
      <c r="G30" s="239"/>
      <c r="H30" s="241" t="s">
        <v>144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153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76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218468.87187140973</v>
      </c>
      <c r="K32" s="240"/>
    </row>
    <row r="33" spans="1:12" ht="21.6" customHeight="1" x14ac:dyDescent="0.2">
      <c r="A33" s="14"/>
      <c r="B33" s="224" t="s">
        <v>151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152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154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155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182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218468.87187140973</v>
      </c>
      <c r="K37" s="207"/>
    </row>
    <row r="38" spans="1:12" ht="44.25" customHeight="1" x14ac:dyDescent="0.2">
      <c r="B38" s="202" t="str">
        <f>"Bei erfolgreicher Umsetzung dieser Zielsetzung ergäbe sich für die Marktgemeinde folgende Deckung der Wärmenachfrage für das Jahr "&amp;'Basis-Annahmen'!E5&amp;":"</f>
        <v>Bei erfolgreicher Umsetzung dieser Zielsetzung ergäbe sich für die Marktgemeinde folgende Deckung der Wärmenachfrage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80</v>
      </c>
      <c r="C39" s="203"/>
      <c r="D39" s="203"/>
      <c r="E39" s="203"/>
      <c r="F39" s="203"/>
      <c r="G39" s="201" t="s">
        <v>79</v>
      </c>
      <c r="H39" s="201"/>
      <c r="I39" s="201" t="s">
        <v>73</v>
      </c>
      <c r="J39" s="201"/>
      <c r="K39" s="201"/>
    </row>
    <row r="40" spans="1:12" s="14" customFormat="1" ht="21" customHeight="1" x14ac:dyDescent="0.2">
      <c r="B40" s="211" t="s">
        <v>54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74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218468.87187140973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181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178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170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172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171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173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174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175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176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177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76044.94</v>
      </c>
      <c r="E78" s="177">
        <f>LOOKUP('Basis-Annahmen'!E5,'Nachfrage &amp; Erzeugung'!D36:G36,'Nachfrage &amp; Erzeugung'!D38:G38)</f>
        <v>71567.71909592062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106787</v>
      </c>
      <c r="E79" s="177">
        <f>LOOKUP('Basis-Annahmen'!E5,'Nachfrage &amp; Erzeugung'!D36:G36,'Nachfrage &amp; Erzeugung'!D39:G39)</f>
        <v>143119.75552373557</v>
      </c>
      <c r="F79" s="175"/>
      <c r="G79" s="176" t="s">
        <v>54</v>
      </c>
      <c r="H79" s="177">
        <f>'Nachfrage &amp; Erzeugung'!C46</f>
        <v>18631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3344.52</v>
      </c>
      <c r="E80" s="177">
        <f>LOOKUP('Basis-Annahmen'!E5,'Nachfrage &amp; Erzeugung'!D36:G36,'Nachfrage &amp; Erzeugung'!D40:G40)</f>
        <v>3781.3972517535531</v>
      </c>
      <c r="F80" s="175"/>
      <c r="G80" s="176" t="str">
        <f>'Nachfrage &amp; Erzeugung'!B47</f>
        <v>Nicht erneuerbare Wärmeerzeugung</v>
      </c>
      <c r="H80" s="177">
        <f>MAX(0,H82-H79)</f>
        <v>167516</v>
      </c>
      <c r="I80" s="177">
        <f>MAX(0,I82-I79)</f>
        <v>218468.87187140973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66</v>
      </c>
      <c r="D82" s="177">
        <f>'Nachfrage &amp; Erzeugung'!C37</f>
        <v>186147</v>
      </c>
      <c r="E82" s="177">
        <f>LOOKUP('Basis-Annahmen'!E5,'Nachfrage &amp; Erzeugung'!D36:G36,'Nachfrage &amp; Erzeugung'!D37:G37)</f>
        <v>218468.87187140973</v>
      </c>
      <c r="F82" s="175"/>
      <c r="G82" s="176" t="s">
        <v>81</v>
      </c>
      <c r="H82" s="177">
        <f>'Nachfrage &amp; Erzeugung'!C37</f>
        <v>186147</v>
      </c>
      <c r="I82" s="177">
        <f>LOOKUP('Basis-Annahmen'!E5,'Nachfrage &amp; Erzeugung'!D36:G36,'Nachfrage &amp; Erzeugung'!D37:G37)</f>
        <v>218468.87187140973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104</v>
      </c>
      <c r="D84" s="175"/>
      <c r="E84" s="178">
        <f>(E82-D82)/D82</f>
        <v>0.17363627601524459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92.152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39 %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27 %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105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192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191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83</v>
      </c>
      <c r="F26" s="249" t="s">
        <v>85</v>
      </c>
      <c r="G26" s="249"/>
      <c r="H26" s="251" t="s">
        <v>86</v>
      </c>
      <c r="I26" s="251"/>
      <c r="J26" s="251" t="s">
        <v>84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18000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122</v>
      </c>
      <c r="C28" s="246"/>
      <c r="D28" s="181"/>
      <c r="E28" s="158" t="s">
        <v>121</v>
      </c>
      <c r="F28" s="255">
        <f>D28*Potenzial!D18</f>
        <v>0</v>
      </c>
      <c r="G28" s="255"/>
      <c r="H28" s="254">
        <f>Potenzial!D14</f>
        <v>40349.1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123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123326.78400000001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124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125</v>
      </c>
      <c r="D31" s="157"/>
      <c r="E31" s="157"/>
      <c r="F31" s="257">
        <f>H77</f>
        <v>3214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3214</v>
      </c>
      <c r="G32" s="256"/>
      <c r="H32" s="248">
        <f>SUM(H27:H31)</f>
        <v>181675.88400000002</v>
      </c>
      <c r="I32" s="248"/>
      <c r="J32" s="245">
        <f>IF(H32&gt;0,F32/H32,0)</f>
        <v>1.7690845527962313E-2</v>
      </c>
      <c r="K32" s="245"/>
      <c r="L32" s="162"/>
    </row>
    <row r="33" spans="2:16" ht="45.75" customHeight="1" x14ac:dyDescent="0.2">
      <c r="B33" s="202" t="str">
        <f>"Bei erfolgreicher Umsetzung dieser Zielsetzung ergäbe sich für die Marktgemeinde folgende Deckung der Stromnachfrage durch erneuerbare Energien für das Jahr "&amp;'Basis-Annahmen'!E5&amp;":"</f>
        <v>Bei erfolgreicher Umsetzung dieser Zielsetzung ergäbe sich für die Marktgemeinde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169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186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170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172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171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173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174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175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176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177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15009.12</v>
      </c>
      <c r="E76" s="186">
        <f>LOOKUP('Basis-Annahmen'!E5,'Nachfrage &amp; Erzeugung'!D9:G9,'Nachfrage &amp; Erzeugung'!D11:G11)</f>
        <v>12621.192939443106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47726.11</v>
      </c>
      <c r="E77" s="186">
        <f>LOOKUP('Basis-Annahmen'!E5,'Nachfrage &amp; Erzeugung'!D9:G9,'Nachfrage &amp; Erzeugung'!D12:G12)</f>
        <v>53534.712475779226</v>
      </c>
      <c r="F77" s="175"/>
      <c r="G77" s="176" t="s">
        <v>101</v>
      </c>
      <c r="H77" s="186">
        <f>'Nachfrage &amp; Erzeugung'!C21</f>
        <v>3214</v>
      </c>
      <c r="I77" s="186">
        <f>F31</f>
        <v>3214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1753.83</v>
      </c>
      <c r="E78" s="186">
        <f>LOOKUP('Basis-Annahmen'!E5,'Nachfrage &amp; Erzeugung'!D9:G9,'Nachfrage &amp; Erzeugung'!D13:G13)</f>
        <v>1200.5759060249829</v>
      </c>
      <c r="F78" s="175"/>
      <c r="G78" s="176" t="str">
        <f>'Nachfrage &amp; Erzeugung'!B29</f>
        <v>Nicht aus lokalen EE gedeckter Strombedarf</v>
      </c>
      <c r="H78" s="186">
        <f>'Nachfrage &amp; Erzeugung'!C29</f>
        <v>62845.440000000002</v>
      </c>
      <c r="I78" s="186">
        <f>MAX(0,E82-SUM(I79:I82)-I77)</f>
        <v>88938.24219081254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24795.760869565216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66059.44</v>
      </c>
      <c r="E82" s="186">
        <f>LOOKUP('Basis-Annahmen'!E5,'Nachfrage &amp; Erzeugung'!D9:G9,'Nachfrage &amp; Erzeugung'!D10:G10)</f>
        <v>92152.24219081254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98</v>
      </c>
      <c r="D83" s="175"/>
      <c r="E83" s="188">
        <f>(E82-D82)/D82</f>
        <v>0.39498975757003901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99</v>
      </c>
      <c r="D84" s="175"/>
      <c r="E84" s="188">
        <f>E79/E82</f>
        <v>0.26907387471074817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15700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159</v>
      </c>
      <c r="D8" s="218"/>
      <c r="E8" s="218"/>
      <c r="F8" s="218"/>
      <c r="G8" s="218"/>
      <c r="H8" s="266">
        <f>Ausbauziel_Strom!I78</f>
        <v>88938.24219081254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160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162</v>
      </c>
      <c r="D12" s="260"/>
      <c r="E12" s="260"/>
      <c r="F12" s="260"/>
      <c r="G12" s="260"/>
      <c r="H12" s="261">
        <f>H10*H8/1000</f>
        <v>17787.648438162509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161</v>
      </c>
      <c r="D13" s="260"/>
      <c r="E13" s="260"/>
      <c r="F13" s="260"/>
      <c r="G13" s="260"/>
      <c r="H13" s="262">
        <f>H12/H5</f>
        <v>1.1329712380995229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157</v>
      </c>
      <c r="D16" s="218"/>
      <c r="E16" s="218"/>
      <c r="F16" s="218"/>
      <c r="G16" s="218"/>
      <c r="H16" s="266">
        <f>Ausbauziel_Wärme!I41</f>
        <v>218468.87187140973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158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162</v>
      </c>
      <c r="D20" s="260"/>
      <c r="E20" s="260"/>
      <c r="F20" s="260"/>
      <c r="G20" s="260"/>
      <c r="H20" s="261">
        <f>H18*H16/1000</f>
        <v>52432.52924913833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161</v>
      </c>
      <c r="D21" s="260"/>
      <c r="E21" s="260"/>
      <c r="F21" s="260"/>
      <c r="G21" s="260"/>
      <c r="H21" s="262">
        <f>H20/H5</f>
        <v>3.3396515445311037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183</v>
      </c>
      <c r="D24" s="264"/>
      <c r="E24" s="264"/>
      <c r="F24" s="264"/>
      <c r="G24" s="264"/>
      <c r="H24" s="265">
        <v>0.91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162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161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162</v>
      </c>
      <c r="D31" s="260"/>
      <c r="E31" s="260"/>
      <c r="F31" s="260"/>
      <c r="G31" s="260"/>
      <c r="H31" s="261">
        <f>H26+H20+H12</f>
        <v>70220.177687300835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161</v>
      </c>
      <c r="D32" s="260"/>
      <c r="E32" s="260"/>
      <c r="F32" s="260"/>
      <c r="G32" s="260"/>
      <c r="H32" s="262">
        <f>H27+H21+H13</f>
        <v>4.4726227826306264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178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170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172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171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173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174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175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176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177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72</v>
      </c>
      <c r="D56" s="185">
        <f>H12</f>
        <v>17787.648438162509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70</v>
      </c>
      <c r="D57" s="185">
        <f>H20</f>
        <v>52432.52924913833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167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97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96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47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48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168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6.3317274604267034E-3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49</v>
      </c>
      <c r="C15" s="280"/>
      <c r="D15" s="280"/>
      <c r="E15" s="53">
        <f>E47/E45</f>
        <v>1.9408121128699243E-2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67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68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69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103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50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187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51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52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53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57</v>
      </c>
      <c r="C34" s="271"/>
      <c r="D34" s="271"/>
      <c r="E34" s="69">
        <v>13800</v>
      </c>
      <c r="F34" s="69">
        <v>14400</v>
      </c>
      <c r="G34" s="69">
        <v>14900</v>
      </c>
      <c r="H34" s="69">
        <v>15300</v>
      </c>
      <c r="I34" s="70">
        <v>15700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">
      <c r="A36" s="14"/>
      <c r="B36" s="272" t="s">
        <v>58</v>
      </c>
      <c r="C36" s="273"/>
      <c r="D36" s="273"/>
      <c r="E36" s="66"/>
      <c r="F36" s="67">
        <f>(F34-E34)/E34</f>
        <v>4.3478260869565216E-2</v>
      </c>
      <c r="G36" s="67">
        <f>(G34-F34)/F34</f>
        <v>3.4722222222222224E-2</v>
      </c>
      <c r="H36" s="67">
        <f>(H34-G34)/G34</f>
        <v>2.6845637583892617E-2</v>
      </c>
      <c r="I36" s="68">
        <f>(I34-H34)/H34</f>
        <v>2.6143790849673203E-2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118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188</v>
      </c>
      <c r="C40" s="273"/>
      <c r="D40" s="273"/>
      <c r="E40" s="80">
        <v>38.201543550165383</v>
      </c>
      <c r="F40" s="143" t="s">
        <v>185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62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108</v>
      </c>
      <c r="C44" s="271"/>
      <c r="D44" s="271"/>
      <c r="E44" s="73">
        <v>0.52644927536231889</v>
      </c>
      <c r="F44" s="73">
        <f>E44*(1+(F13*(F43-E43)))</f>
        <v>0.52644927536231889</v>
      </c>
      <c r="G44" s="73">
        <f t="shared" ref="G44:I44" si="0">F44*(1+(G13*(G43-F43)))</f>
        <v>0.52644927536231889</v>
      </c>
      <c r="H44" s="73">
        <f t="shared" si="0"/>
        <v>0.52644927536231889</v>
      </c>
      <c r="I44" s="190">
        <f t="shared" si="0"/>
        <v>0.52644927536231889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7265</v>
      </c>
      <c r="F45" s="36">
        <f>F44*F34</f>
        <v>7580.8695652173919</v>
      </c>
      <c r="G45" s="36">
        <f t="shared" ref="G45:I45" si="1">G44*G34</f>
        <v>7844.0942028985519</v>
      </c>
      <c r="H45" s="36">
        <f t="shared" si="1"/>
        <v>8054.6739130434789</v>
      </c>
      <c r="I45" s="74">
        <f t="shared" si="1"/>
        <v>8265.253623188406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46</v>
      </c>
      <c r="F46" s="36">
        <f>F$45*F$14</f>
        <v>379.04347826086962</v>
      </c>
      <c r="G46" s="36">
        <f>G$45*G$14</f>
        <v>2353.2282608695655</v>
      </c>
      <c r="H46" s="36">
        <f>H$45*H$14</f>
        <v>4832.804347826087</v>
      </c>
      <c r="I46" s="74">
        <f>I$45*I$14</f>
        <v>8265.253623188406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141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56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55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63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143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165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166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109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72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64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66</v>
      </c>
      <c r="C10" s="93">
        <v>66059.44</v>
      </c>
      <c r="D10" s="94">
        <f>D11+D12+D13+D14+D15</f>
        <v>63534.655068511602</v>
      </c>
      <c r="E10" s="94">
        <f>E11+E12+E13+E14+D15</f>
        <v>71033.088367462697</v>
      </c>
      <c r="F10" s="94">
        <f>F11+F12+F13+F14+D15</f>
        <v>80089.453315283681</v>
      </c>
      <c r="G10" s="95">
        <f>G11+G12+G13+G14+D15</f>
        <v>92152.24219081254</v>
      </c>
      <c r="H10" s="14"/>
    </row>
    <row r="11" spans="1:8" ht="19.5" customHeight="1" x14ac:dyDescent="0.2">
      <c r="B11" s="88" t="s">
        <v>6</v>
      </c>
      <c r="C11" s="96">
        <v>15009.12</v>
      </c>
      <c r="D11" s="97">
        <f>C11/'Basis-Annahmen'!E34*((1-'Basis-Annahmen'!F19)^(D9-C9))*'Basis-Annahmen'!F34</f>
        <v>14521.777826072297</v>
      </c>
      <c r="E11" s="97">
        <f>D11/'Basis-Annahmen'!F34*((1-'Basis-Annahmen'!G19)^5)*'Basis-Annahmen'!G34</f>
        <v>13932.360934438855</v>
      </c>
      <c r="F11" s="97">
        <f>E11/'Basis-Annahmen'!G34*((1-'Basis-Annahmen'!H19)^5)*'Basis-Annahmen'!H34</f>
        <v>13265.115377348038</v>
      </c>
      <c r="G11" s="98">
        <f>F11/'Basis-Annahmen'!H34*((1-'Basis-Annahmen'!I19)^5)*'Basis-Annahmen'!I34</f>
        <v>12621.192939443106</v>
      </c>
      <c r="H11" s="14"/>
    </row>
    <row r="12" spans="1:8" ht="19.5" customHeight="1" x14ac:dyDescent="0.2">
      <c r="B12" s="88" t="s">
        <v>102</v>
      </c>
      <c r="C12" s="96">
        <v>47726.11</v>
      </c>
      <c r="D12" s="97">
        <f>((1-'Basis-Annahmen'!F20)^(D9-C9))*((1+'Basis-Annahmen'!F9)^(D9-C9))*C12</f>
        <v>46369.673311363265</v>
      </c>
      <c r="E12" s="97">
        <f>((1-'Basis-Annahmen'!G20)^5)*((1+'Basis-Annahmen'!G9)^5)*D12</f>
        <v>48644.586450876384</v>
      </c>
      <c r="F12" s="97">
        <f>((1-'Basis-Annahmen'!H20)^5)*((1+'Basis-Annahmen'!H9)^5)*E12</f>
        <v>51031.107661414258</v>
      </c>
      <c r="G12" s="98">
        <f>((1-'Basis-Annahmen'!I20)^5)*((1+'Basis-Annahmen'!I9)^5)*F12</f>
        <v>53534.712475779226</v>
      </c>
      <c r="H12" s="14"/>
    </row>
    <row r="13" spans="1:8" ht="19.5" customHeight="1" x14ac:dyDescent="0.2">
      <c r="B13" s="88" t="s">
        <v>7</v>
      </c>
      <c r="C13" s="96">
        <v>1753.83</v>
      </c>
      <c r="D13" s="97">
        <f>C13*((1-'Basis-Annahmen'!F20)^(D9-C9))</f>
        <v>1506.0734962934307</v>
      </c>
      <c r="E13" s="97">
        <f>D13*((1-'Basis-Annahmen'!G20)^5)</f>
        <v>1396.456199538763</v>
      </c>
      <c r="F13" s="97">
        <f>E13*((1-'Basis-Annahmen'!H20)^5)</f>
        <v>1294.8172330431253</v>
      </c>
      <c r="G13" s="98">
        <f>F13*((1-'Basis-Annahmen'!I20)^5)</f>
        <v>1200.5759060249829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1137.130434782609</v>
      </c>
      <c r="E14" s="97">
        <f>'Basis-Annahmen'!G46*'Basis-Annahmen'!G51+'Basis-Annahmen'!G47*'Basis-Annahmen'!G52</f>
        <v>7059.684782608696</v>
      </c>
      <c r="F14" s="97">
        <f>'Basis-Annahmen'!H46*'Basis-Annahmen'!H51+'Basis-Annahmen'!H47*'Basis-Annahmen'!H52</f>
        <v>14498.41304347826</v>
      </c>
      <c r="G14" s="98">
        <f>'Basis-Annahmen'!I46*'Basis-Annahmen'!I51+'Basis-Annahmen'!I47*'Basis-Annahmen'!I52</f>
        <v>24795.760869565216</v>
      </c>
      <c r="H14" s="14"/>
    </row>
    <row r="15" spans="1:8" ht="19.5" customHeight="1" x14ac:dyDescent="0.2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94</v>
      </c>
      <c r="C16" s="106"/>
      <c r="D16" s="101">
        <f>(D10-$C$10)/$C$10</f>
        <v>-3.8219896073723912E-2</v>
      </c>
      <c r="E16" s="101">
        <f>(E10-$C$10)/$C$10</f>
        <v>7.529050151594828E-2</v>
      </c>
      <c r="F16" s="101">
        <f t="shared" ref="F16" si="0">(F10-$C$10)/$C$10</f>
        <v>0.21238468438853975</v>
      </c>
      <c r="G16" s="102">
        <f>(G10-$C$10)/$C$10</f>
        <v>0.39498975757003901</v>
      </c>
      <c r="H16" s="14"/>
    </row>
    <row r="17" spans="1:10" ht="19.5" customHeight="1" x14ac:dyDescent="0.2">
      <c r="B17" s="89" t="s">
        <v>95</v>
      </c>
      <c r="C17" s="107"/>
      <c r="D17" s="104">
        <f>D14/D10</f>
        <v>1.7897798194645147E-2</v>
      </c>
      <c r="E17" s="104">
        <f>E14/E10</f>
        <v>9.938586291064945E-2</v>
      </c>
      <c r="F17" s="104">
        <f>F14/F10</f>
        <v>0.1810277438953562</v>
      </c>
      <c r="G17" s="105">
        <f>G14/G10</f>
        <v>0.26907387471074817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71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3214</v>
      </c>
      <c r="G21" s="111"/>
    </row>
    <row r="22" spans="1:10" s="14" customFormat="1" ht="19.5" customHeight="1" x14ac:dyDescent="0.2">
      <c r="B22" s="110" t="s">
        <v>14</v>
      </c>
      <c r="C22" s="122">
        <v>54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3160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0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110</v>
      </c>
      <c r="C29" s="126">
        <f>IF(C10-C21&lt;0,0,C10-C21)</f>
        <v>62845.440000000002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65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66</v>
      </c>
      <c r="C37" s="93">
        <v>186147</v>
      </c>
      <c r="D37" s="94">
        <f>SUM(D38:D40)</f>
        <v>193956.19010805202</v>
      </c>
      <c r="E37" s="94">
        <f>SUM(E38:E40)</f>
        <v>201717.53173418416</v>
      </c>
      <c r="F37" s="94">
        <f t="shared" ref="F37:G37" si="1">SUM(F38:F40)</f>
        <v>209736.62439108331</v>
      </c>
      <c r="G37" s="95">
        <f t="shared" si="1"/>
        <v>218468.87187140973</v>
      </c>
      <c r="H37" s="14"/>
    </row>
    <row r="38" spans="1:8" ht="19.5" customHeight="1" x14ac:dyDescent="0.2">
      <c r="A38" s="14"/>
      <c r="B38" s="113" t="s">
        <v>6</v>
      </c>
      <c r="C38" s="96">
        <v>76044.94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75575.061014332969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74493.95733186329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73030.838213891955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71567.71909592062</v>
      </c>
      <c r="H38" s="14"/>
    </row>
    <row r="39" spans="1:8" ht="19.5" customHeight="1" x14ac:dyDescent="0.2">
      <c r="A39" s="14"/>
      <c r="B39" s="113" t="s">
        <v>102</v>
      </c>
      <c r="C39" s="96">
        <v>106787</v>
      </c>
      <c r="D39" s="97">
        <f>C39*((1-'Basis-Annahmen'!F$24)^(D36-C36))*((1+'Basis-Annahmen'!F$9)^(D36-C36))</f>
        <v>114898.32190929768</v>
      </c>
      <c r="E39" s="97">
        <f>((1-'Basis-Annahmen'!G$24)^5)*((1+'Basis-Annahmen'!G$9)^5)*'Nachfrage &amp; Erzeugung'!D39</f>
        <v>123625.7632256042</v>
      </c>
      <c r="F39" s="97">
        <f>((1-'Basis-Annahmen'!H$24)^5)*((1+'Basis-Annahmen'!H$9)^5)*'Nachfrage &amp; Erzeugung'!E39</f>
        <v>133016.12311777732</v>
      </c>
      <c r="G39" s="98">
        <f>((1-'Basis-Annahmen'!I$24)^5)*((1+'Basis-Annahmen'!I$9)^5)*'Nachfrage &amp; Erzeugung'!F39</f>
        <v>143119.75552373557</v>
      </c>
      <c r="H39" s="14"/>
    </row>
    <row r="40" spans="1:8" ht="19.5" customHeight="1" x14ac:dyDescent="0.2">
      <c r="A40" s="14"/>
      <c r="B40" s="113" t="s">
        <v>7</v>
      </c>
      <c r="C40" s="96">
        <v>3344.52</v>
      </c>
      <c r="D40" s="97">
        <f>C40+(C40*'Basis-Annahmen'!F36)*((1-'Basis-Annahmen'!F24)^(D36-C36))</f>
        <v>3482.8071844213719</v>
      </c>
      <c r="E40" s="97">
        <f>D40+(D40*'Basis-Annahmen'!G36)*((1-'Basis-Annahmen'!G24)^5)</f>
        <v>3597.8111767166829</v>
      </c>
      <c r="F40" s="97">
        <f>E40+(E40*'Basis-Annahmen'!H36)*((1-'Basis-Annahmen'!H24)^5)</f>
        <v>3689.6630594140406</v>
      </c>
      <c r="G40" s="98">
        <f>F40+(F40*'Basis-Annahmen'!I36)*((1-'Basis-Annahmen'!I24)^5)</f>
        <v>3781.3972517535531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94</v>
      </c>
      <c r="C42" s="103"/>
      <c r="D42" s="104">
        <f>(D37-$C$37)/$C$37</f>
        <v>4.1951737648482215E-2</v>
      </c>
      <c r="E42" s="104">
        <f>(E37-$C$37)/$C$37</f>
        <v>8.3646428544022516E-2</v>
      </c>
      <c r="F42" s="104">
        <f>(F37-$C$37)/$C$37</f>
        <v>0.12672578333834719</v>
      </c>
      <c r="G42" s="105">
        <f>(G37-$C$37)/$C$37</f>
        <v>0.17363627601524459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73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54</v>
      </c>
      <c r="C46" s="119">
        <v>18631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74</v>
      </c>
      <c r="C47" s="125">
        <f>IF(C37-C46&lt;0,0,C37-C46)</f>
        <v>167516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135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5.0529056777784444E-3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1.1129489846700783E-2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0.9838176044755208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/>
      <c r="C55" s="167">
        <v>0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137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18000</v>
      </c>
      <c r="E9" s="131" t="s">
        <v>13</v>
      </c>
    </row>
    <row r="10" spans="1:6" s="130" customFormat="1" ht="19.5" customHeight="1" x14ac:dyDescent="0.25">
      <c r="B10" s="299" t="s">
        <v>126</v>
      </c>
      <c r="C10" s="300"/>
      <c r="D10" s="96">
        <v>2</v>
      </c>
      <c r="E10" s="145" t="s">
        <v>127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111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40349.1</v>
      </c>
      <c r="E14" s="133" t="s">
        <v>13</v>
      </c>
    </row>
    <row r="15" spans="1:6" s="130" customFormat="1" ht="19.5" customHeight="1" x14ac:dyDescent="0.25">
      <c r="B15" s="301" t="s">
        <v>148</v>
      </c>
      <c r="C15" s="302"/>
      <c r="D15" s="173">
        <v>268994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119</v>
      </c>
      <c r="F16" s="136"/>
    </row>
    <row r="17" spans="2:6" s="130" customFormat="1" ht="19.5" customHeight="1" x14ac:dyDescent="0.25">
      <c r="B17" s="301" t="s">
        <v>150</v>
      </c>
      <c r="C17" s="302"/>
      <c r="D17" s="137">
        <v>900</v>
      </c>
      <c r="E17" s="135" t="s">
        <v>116</v>
      </c>
    </row>
    <row r="18" spans="2:6" s="130" customFormat="1" ht="19.5" customHeight="1" x14ac:dyDescent="0.25">
      <c r="B18" s="291" t="s">
        <v>149</v>
      </c>
      <c r="C18" s="292"/>
      <c r="D18" s="138">
        <f>(D17/D16)/1000</f>
        <v>0.15</v>
      </c>
      <c r="E18" s="139" t="s">
        <v>120</v>
      </c>
    </row>
    <row r="19" spans="2:6" x14ac:dyDescent="0.25">
      <c r="D19" s="4"/>
    </row>
    <row r="20" spans="2:6" ht="15.75" x14ac:dyDescent="0.25">
      <c r="B20" s="276" t="s">
        <v>112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123326.78400000001</v>
      </c>
      <c r="E21" s="133" t="s">
        <v>13</v>
      </c>
    </row>
    <row r="22" spans="2:6" s="132" customFormat="1" ht="19.5" customHeight="1" x14ac:dyDescent="0.25">
      <c r="B22" s="301" t="s">
        <v>147</v>
      </c>
      <c r="C22" s="302"/>
      <c r="D22" s="96">
        <v>171.28720000000001</v>
      </c>
      <c r="E22" s="135" t="s">
        <v>10</v>
      </c>
    </row>
    <row r="23" spans="2:6" s="132" customFormat="1" ht="19.5" customHeight="1" x14ac:dyDescent="0.25">
      <c r="B23" s="305" t="s">
        <v>113</v>
      </c>
      <c r="C23" s="306"/>
      <c r="D23" s="137">
        <v>800</v>
      </c>
      <c r="E23" s="135" t="s">
        <v>115</v>
      </c>
    </row>
    <row r="24" spans="2:6" s="132" customFormat="1" ht="19.5" customHeight="1" x14ac:dyDescent="0.25">
      <c r="B24" s="301" t="s">
        <v>146</v>
      </c>
      <c r="C24" s="302"/>
      <c r="D24" s="137">
        <v>900</v>
      </c>
      <c r="E24" s="135" t="s">
        <v>116</v>
      </c>
    </row>
    <row r="25" spans="2:6" s="132" customFormat="1" ht="19.5" customHeight="1" x14ac:dyDescent="0.25">
      <c r="B25" s="291" t="s">
        <v>145</v>
      </c>
      <c r="C25" s="292"/>
      <c r="D25" s="125">
        <f>D23*D24/1000</f>
        <v>720</v>
      </c>
      <c r="E25" s="139" t="s">
        <v>117</v>
      </c>
    </row>
    <row r="27" spans="2:6" ht="15.75" x14ac:dyDescent="0.25">
      <c r="B27" s="276" t="s">
        <v>114</v>
      </c>
      <c r="C27" s="277"/>
      <c r="D27" s="277"/>
      <c r="E27" s="278"/>
    </row>
    <row r="28" spans="2:6" s="130" customFormat="1" ht="19.5" customHeight="1" x14ac:dyDescent="0.25">
      <c r="B28" s="293" t="s">
        <v>113</v>
      </c>
      <c r="C28" s="294"/>
      <c r="D28" s="137">
        <v>300</v>
      </c>
      <c r="E28" s="135" t="s">
        <v>115</v>
      </c>
      <c r="F28" s="140"/>
    </row>
    <row r="29" spans="2:6" s="130" customFormat="1" ht="19.5" customHeight="1" x14ac:dyDescent="0.25">
      <c r="B29" s="295" t="s">
        <v>146</v>
      </c>
      <c r="C29" s="296"/>
      <c r="D29" s="137">
        <v>900</v>
      </c>
      <c r="E29" s="135" t="s">
        <v>116</v>
      </c>
    </row>
    <row r="30" spans="2:6" s="130" customFormat="1" ht="19.5" customHeight="1" x14ac:dyDescent="0.25">
      <c r="B30" s="297" t="s">
        <v>145</v>
      </c>
      <c r="C30" s="298"/>
      <c r="D30" s="125">
        <f>D28*D29/1000</f>
        <v>270</v>
      </c>
      <c r="E30" s="139" t="s">
        <v>117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